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<sst xmlns="http://schemas.openxmlformats.org/spreadsheetml/2006/main" count="166" uniqueCount="119">
  <si>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</si>
  <si>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</si>
  <si>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</si>
  <si>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</si>
  <si>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</si>
  <si>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</si>
  <si>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</si>
  <si>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</si>
  <si>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</si>
  <si>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</si>
  <si>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</si>
  <si>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</si>
  <si>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</si>
  <si>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</si>
  <si>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</si>
  <si>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</si>
  <si>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</si>
  <si>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</si>
  <si>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</si>
  <si>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</si>
  <si>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</si>
  <si>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</si>
  <si>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</si>
  <si>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</si>
  <si>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</si>
  <si>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</si>
  <si>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</si>
  <si>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</si>
  <si>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</si>
  <si>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</si>
  <si>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</si>
  <si>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</si>
  <si>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</si>
  <si>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</si>
  <si>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</si>
  <si>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</si>
  <si>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</si>
  <si>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</si>
  <si>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</si>
  <si>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</si>
  <si>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</si>
  <si>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</si>
  <si>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</si>
  <si>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</si>
  <si>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</si>
  <si>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</si>
  <si>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</si>
  <si>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</si>
  <si>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</si>
  <si>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</si>
  <si>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</si>
  <si>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</si>
  <si>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</si>
  <si>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</si>
  <si>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</si>
  <si>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</si>
  <si>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</si>
  <si>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</si>
  <si>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</si>
  <si>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</si>
  <si>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</si>
  <si>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</si>
  <si>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</si>
  <si>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</si>
  <si>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</si>
  <si>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</si>
  <si>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</si>
  <si>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</si>
  <si>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</si>
  <si>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</si>
  <si>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</si>
  <si>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</si>
  <si>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</si>
  <si>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</si>
  <si>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</si>
  <si>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</si>
  <si>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</si>
  <si>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</si>
  <si>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</si>
  <si>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</si>
  <si>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</si>
  <si>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</si>
  <si>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</si>
  <si>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</si>
  <si>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</si>
  <si>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</si>
  <si>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</si>
  <si>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</si>
  <si>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</si>
  <si>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</si>
  <si>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</si>
  <si>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</si>
  <si>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</si>
  <si>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</si>
  <si>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</si>
  <si>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</si>
  <si>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</si>
  <si>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</si>
  <si>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</si>
  <si>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</si>
  <si>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</si>
  <si>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</si>
  <si>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</si>
  <si>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</si>
  <si>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</si>
  <si>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</si>
  <si>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</si>
  <si>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</si>
  <si>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</si>
  <si>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</si>
  <si>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</si>
  <si>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</si>
  <si>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План на І квартал, тис.грн.</t>
  </si>
  <si>
    <t>Відсоток виконання плану 1-го кварталу</t>
  </si>
  <si>
    <t>Відхилення від плану 1-го кварталу, тис.грн.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</si>
  <si>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</si>
  <si>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</si>
  <si>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</si>
  <si>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Аналіз використання коштів міського бюджету за 2015 рік станом на 31.03.2015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</si>
</sst>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15143893"/>
        <c:axId val="2077310"/>
      </c:bar3D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7310"/>
        <c:crosses val="autoZero"/>
        <c:auto val="1"/>
        <c:lblOffset val="100"/>
        <c:tickLblSkip val="1"/>
        <c:noMultiLvlLbl val="0"/>
      </c:catAx>
      <c:valAx>
        <c:axId val="2077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18695791"/>
        <c:axId val="34044392"/>
      </c:bar3D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44392"/>
        <c:crosses val="autoZero"/>
        <c:auto val="1"/>
        <c:lblOffset val="100"/>
        <c:tickLblSkip val="1"/>
        <c:noMultiLvlLbl val="0"/>
      </c:catAx>
      <c:valAx>
        <c:axId val="34044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57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37964073"/>
        <c:axId val="6132338"/>
      </c:bar3D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2338"/>
        <c:crosses val="autoZero"/>
        <c:auto val="1"/>
        <c:lblOffset val="100"/>
        <c:tickLblSkip val="1"/>
        <c:noMultiLvlLbl val="0"/>
      </c:catAx>
      <c:valAx>
        <c:axId val="6132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40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55191043"/>
        <c:axId val="26957340"/>
      </c:bar3D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57340"/>
        <c:crosses val="autoZero"/>
        <c:auto val="1"/>
        <c:lblOffset val="100"/>
        <c:tickLblSkip val="1"/>
        <c:noMultiLvlLbl val="0"/>
      </c:catAx>
      <c:valAx>
        <c:axId val="26957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41289469"/>
        <c:axId val="36060902"/>
      </c:bar3D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60902"/>
        <c:crosses val="autoZero"/>
        <c:auto val="1"/>
        <c:lblOffset val="100"/>
        <c:tickLblSkip val="2"/>
        <c:noMultiLvlLbl val="0"/>
      </c:catAx>
      <c:valAx>
        <c:axId val="36060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9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56112663"/>
        <c:axId val="35251920"/>
      </c:bar3D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51920"/>
        <c:crosses val="autoZero"/>
        <c:auto val="1"/>
        <c:lblOffset val="100"/>
        <c:tickLblSkip val="1"/>
        <c:noMultiLvlLbl val="0"/>
      </c:catAx>
      <c:valAx>
        <c:axId val="35251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2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48831825"/>
        <c:axId val="36833242"/>
      </c:bar3D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33242"/>
        <c:crosses val="autoZero"/>
        <c:auto val="1"/>
        <c:lblOffset val="100"/>
        <c:tickLblSkip val="1"/>
        <c:noMultiLvlLbl val="0"/>
      </c:catAx>
      <c:valAx>
        <c:axId val="36833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1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63063723"/>
        <c:axId val="30702596"/>
      </c:bar3D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02596"/>
        <c:crosses val="autoZero"/>
        <c:auto val="1"/>
        <c:lblOffset val="100"/>
        <c:tickLblSkip val="1"/>
        <c:noMultiLvlLbl val="0"/>
      </c:catAx>
      <c:valAx>
        <c:axId val="30702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3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7887909"/>
        <c:axId val="3882318"/>
      </c:bar3DChart>
      <c:catAx>
        <c:axId val="788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2318"/>
        <c:crosses val="autoZero"/>
        <c:auto val="1"/>
        <c:lblOffset val="100"/>
        <c:tickLblSkip val="1"/>
        <c:noMultiLvlLbl val="0"/>
      </c:catAx>
      <c:valAx>
        <c:axId val="3882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79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3" sqref="D14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112</v>
      </c>
      <c r="C3" s="151" t="s">
        <v>104</v>
      </c>
      <c r="D3" s="151" t="s">
        <v>29</v>
      </c>
      <c r="E3" s="151" t="s">
        <v>28</v>
      </c>
      <c r="F3" s="151" t="s">
        <v>113</v>
      </c>
      <c r="G3" s="151" t="s">
        <v>105</v>
      </c>
      <c r="H3" s="151" t="s">
        <v>114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f>87150.2+752.3</f>
        <v>87902.5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</f>
        <v>77272.10000000002</v>
      </c>
      <c r="E6" s="3">
        <f>D6/D144*100</f>
        <v>39.34875431248488</v>
      </c>
      <c r="F6" s="3">
        <f>D6/B6*100</f>
        <v>87.90660106367854</v>
      </c>
      <c r="G6" s="3">
        <f aca="true" t="shared" si="0" ref="G6:G43">D6/C6*100</f>
        <v>22.894853642247938</v>
      </c>
      <c r="H6" s="3">
        <f>B6-D6</f>
        <v>10630.39999999998</v>
      </c>
      <c r="I6" s="3">
        <f aca="true" t="shared" si="1" ref="I6:I43">C6-D6</f>
        <v>260236.49999999994</v>
      </c>
    </row>
    <row r="7" spans="1:9" s="44" customFormat="1" ht="18.75">
      <c r="A7" s="119" t="s">
        <v>107</v>
      </c>
      <c r="B7" s="120">
        <v>39940</v>
      </c>
      <c r="C7" s="121">
        <v>179936.4</v>
      </c>
      <c r="D7" s="122">
        <f>17278.1+34.8+43.3+5046.6+1441.7+293+463.5+4876.3+308.3+631.3+5138.7</f>
        <v>35555.59999999999</v>
      </c>
      <c r="E7" s="123">
        <f>D7/D6*100</f>
        <v>46.01350293314143</v>
      </c>
      <c r="F7" s="108">
        <f>D7/B7*100</f>
        <v>89.02253380070103</v>
      </c>
      <c r="G7" s="108">
        <f>D7/C7*100</f>
        <v>19.760093010641533</v>
      </c>
      <c r="H7" s="108">
        <f>B7-D7</f>
        <v>4384.400000000009</v>
      </c>
      <c r="I7" s="108">
        <f t="shared" si="1"/>
        <v>144380.8</v>
      </c>
    </row>
    <row r="8" spans="1:9" ht="18">
      <c r="A8" s="29" t="s">
        <v>3</v>
      </c>
      <c r="B8" s="49">
        <v>60816.2</v>
      </c>
      <c r="C8" s="50">
        <v>251964.7</v>
      </c>
      <c r="D8" s="51">
        <f>2656.8+4544.7+5310.3+304.5+4240.2+2115.7+0.5+13.7+8260.2+9928.8+1441.7+7980.3+10682.7+0.1</f>
        <v>57480.200000000004</v>
      </c>
      <c r="E8" s="1">
        <f>D8/D6*100</f>
        <v>74.38674502181252</v>
      </c>
      <c r="F8" s="1">
        <f>D8/B8*100</f>
        <v>94.51461945994653</v>
      </c>
      <c r="G8" s="1">
        <f t="shared" si="0"/>
        <v>22.812798776971537</v>
      </c>
      <c r="H8" s="1">
        <f>B8-D8</f>
        <v>3335.9999999999927</v>
      </c>
      <c r="I8" s="1">
        <f t="shared" si="1"/>
        <v>194484.5</v>
      </c>
    </row>
    <row r="9" spans="1:9" ht="18">
      <c r="A9" s="29" t="s">
        <v>2</v>
      </c>
      <c r="B9" s="49">
        <v>2.3</v>
      </c>
      <c r="C9" s="50">
        <v>45.2</v>
      </c>
      <c r="D9" s="51">
        <f>0.3</f>
        <v>0.3</v>
      </c>
      <c r="E9" s="12">
        <f>D9/D6*100</f>
        <v>0.0003882384457003238</v>
      </c>
      <c r="F9" s="149">
        <f>D9/B9*100</f>
        <v>13.043478260869565</v>
      </c>
      <c r="G9" s="1">
        <f t="shared" si="0"/>
        <v>0.663716814159292</v>
      </c>
      <c r="H9" s="1">
        <f aca="true" t="shared" si="2" ref="H9:H43">B9-D9</f>
        <v>1.9999999999999998</v>
      </c>
      <c r="I9" s="1">
        <f t="shared" si="1"/>
        <v>44.900000000000006</v>
      </c>
    </row>
    <row r="10" spans="1:9" ht="18">
      <c r="A10" s="29" t="s">
        <v>1</v>
      </c>
      <c r="B10" s="49">
        <v>5309.6</v>
      </c>
      <c r="C10" s="50">
        <f>21498.1+611.5</f>
        <v>22109.6</v>
      </c>
      <c r="D10" s="55">
        <f>391.1+295.4+72.7+84.3+268.2+68.6+39+308.5+154.7+328.1+203.3+53.9+39.8+25.1+104.1+11.5+21.9+15+581+50.5+202+8.2+203.8+151.8+67.9</f>
        <v>3750.4000000000005</v>
      </c>
      <c r="E10" s="1">
        <f>D10/D6*100</f>
        <v>4.853498222514982</v>
      </c>
      <c r="F10" s="1">
        <f aca="true" t="shared" si="3" ref="F10:F41">D10/B10*100</f>
        <v>70.63432273617599</v>
      </c>
      <c r="G10" s="1">
        <f t="shared" si="0"/>
        <v>16.962767304700225</v>
      </c>
      <c r="H10" s="1">
        <f t="shared" si="2"/>
        <v>1559.1999999999998</v>
      </c>
      <c r="I10" s="1">
        <f t="shared" si="1"/>
        <v>18359.199999999997</v>
      </c>
    </row>
    <row r="11" spans="1:9" ht="18">
      <c r="A11" s="29" t="s">
        <v>0</v>
      </c>
      <c r="B11" s="49">
        <f>20361-56.7</f>
        <v>20304.3</v>
      </c>
      <c r="C11" s="50">
        <v>59404.7</v>
      </c>
      <c r="D11" s="56">
        <f>710.3+17.9+0.2+17+333.3+17.1+16+76.8+12.9+141.2+71+247.3+17.2+2.5+2414.8+355.4+677.9+3904.9+275.6+783.8+1761.8+627.5+1607.1+421.9+578.4+120.9</f>
        <v>15210.699999999997</v>
      </c>
      <c r="E11" s="1">
        <f>D11/D6*100</f>
        <v>19.684595086713045</v>
      </c>
      <c r="F11" s="1">
        <f t="shared" si="3"/>
        <v>74.91368823352687</v>
      </c>
      <c r="G11" s="1">
        <f t="shared" si="0"/>
        <v>25.605213055532637</v>
      </c>
      <c r="H11" s="1">
        <f t="shared" si="2"/>
        <v>5093.600000000002</v>
      </c>
      <c r="I11" s="1">
        <f t="shared" si="1"/>
        <v>44194</v>
      </c>
    </row>
    <row r="12" spans="1:9" ht="18">
      <c r="A12" s="29" t="s">
        <v>15</v>
      </c>
      <c r="B12" s="49">
        <v>28.3</v>
      </c>
      <c r="C12" s="50">
        <v>286.2</v>
      </c>
      <c r="D12" s="51">
        <f>3.8+3.8+12.7+7.4</f>
        <v>27.699999999999996</v>
      </c>
      <c r="E12" s="1">
        <f>D12/D6*100</f>
        <v>0.03584734981966323</v>
      </c>
      <c r="F12" s="1">
        <f t="shared" si="3"/>
        <v>97.8798586572438</v>
      </c>
      <c r="G12" s="1">
        <f t="shared" si="0"/>
        <v>9.678546470999299</v>
      </c>
      <c r="H12" s="1">
        <f t="shared" si="2"/>
        <v>0.600000000000005</v>
      </c>
      <c r="I12" s="1">
        <f t="shared" si="1"/>
        <v>258.5</v>
      </c>
    </row>
    <row r="13" spans="1:9" ht="18.75" thickBot="1">
      <c r="A13" s="29" t="s">
        <v>35</v>
      </c>
      <c r="B13" s="50">
        <f>B6-B8-B9-B10-B11-B12</f>
        <v>1441.8000000000022</v>
      </c>
      <c r="C13" s="50">
        <f>C6-C8-C9-C10-C11-C12</f>
        <v>3698.1999999999725</v>
      </c>
      <c r="D13" s="50">
        <f>D6-D8-D9-D10-D11-D12</f>
        <v>802.8000000000181</v>
      </c>
      <c r="E13" s="1">
        <f>D13/D6*100</f>
        <v>1.03892608069409</v>
      </c>
      <c r="F13" s="1">
        <f t="shared" si="3"/>
        <v>55.68039950062539</v>
      </c>
      <c r="G13" s="1">
        <f t="shared" si="0"/>
        <v>21.707857876805583</v>
      </c>
      <c r="H13" s="1">
        <f t="shared" si="2"/>
        <v>638.9999999999841</v>
      </c>
      <c r="I13" s="1">
        <f t="shared" si="1"/>
        <v>2895.399999999954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f>48458.9+490.7</f>
        <v>48949.6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</f>
        <v>43709.6</v>
      </c>
      <c r="E18" s="3">
        <f>D18/D144*100</f>
        <v>22.257947066237215</v>
      </c>
      <c r="F18" s="3">
        <f>D18/B18*100</f>
        <v>89.29511170673509</v>
      </c>
      <c r="G18" s="3">
        <f t="shared" si="0"/>
        <v>19.326087715861902</v>
      </c>
      <c r="H18" s="3">
        <f>B18-D18</f>
        <v>5240</v>
      </c>
      <c r="I18" s="3">
        <f t="shared" si="1"/>
        <v>182459.30000000002</v>
      </c>
    </row>
    <row r="19" spans="1:9" s="44" customFormat="1" ht="18.75">
      <c r="A19" s="119" t="s">
        <v>108</v>
      </c>
      <c r="B19" s="120">
        <v>46624.9</v>
      </c>
      <c r="C19" s="121">
        <v>186519.2</v>
      </c>
      <c r="D19" s="122">
        <f>20724.4+1058.1+4.5+4107.3+4273.5+909.7+5187.7+0.2+1026+1411.4+1.1+2729.9</f>
        <v>41433.799999999996</v>
      </c>
      <c r="E19" s="123">
        <f>D19/D18*100</f>
        <v>94.79336347164009</v>
      </c>
      <c r="F19" s="108">
        <f t="shared" si="3"/>
        <v>88.86624957908755</v>
      </c>
      <c r="G19" s="108">
        <f t="shared" si="0"/>
        <v>22.214227811399574</v>
      </c>
      <c r="H19" s="108">
        <f t="shared" si="2"/>
        <v>5191.100000000006</v>
      </c>
      <c r="I19" s="108">
        <f t="shared" si="1"/>
        <v>145085.40000000002</v>
      </c>
    </row>
    <row r="20" spans="1:9" ht="18">
      <c r="A20" s="29" t="s">
        <v>5</v>
      </c>
      <c r="B20" s="49">
        <f>36394.5-190.2</f>
        <v>36204.3</v>
      </c>
      <c r="C20" s="50">
        <v>169195.9</v>
      </c>
      <c r="D20" s="51">
        <f>5164.3+574.5+4352.6-225.6+2461.2+632.3+5026.9+4104.6-0.1+3875.3+3989.4+855.4+280</f>
        <v>31090.8</v>
      </c>
      <c r="E20" s="1">
        <f>D20/D18*100</f>
        <v>71.13036952980582</v>
      </c>
      <c r="F20" s="1">
        <f t="shared" si="3"/>
        <v>85.87598710650391</v>
      </c>
      <c r="G20" s="1">
        <f t="shared" si="0"/>
        <v>18.375622577142828</v>
      </c>
      <c r="H20" s="1">
        <f t="shared" si="2"/>
        <v>5113.500000000004</v>
      </c>
      <c r="I20" s="1">
        <f t="shared" si="1"/>
        <v>138105.1</v>
      </c>
    </row>
    <row r="21" spans="1:9" ht="18">
      <c r="A21" s="29" t="s">
        <v>2</v>
      </c>
      <c r="B21" s="49">
        <f>2510.2-486.8</f>
        <v>2023.3999999999999</v>
      </c>
      <c r="C21" s="50">
        <v>12491.1</v>
      </c>
      <c r="D21" s="51">
        <f>11+1.8+42.7+3+47.6+40.1+0.7+2.5+101.4-0.1+82.5+53+0.2+1536.8+83.2+0.7+12.8</f>
        <v>2019.8999999999999</v>
      </c>
      <c r="E21" s="1">
        <f>D21/D18*100</f>
        <v>4.621181616853049</v>
      </c>
      <c r="F21" s="1">
        <f t="shared" si="3"/>
        <v>99.8270238212909</v>
      </c>
      <c r="G21" s="1">
        <f t="shared" si="0"/>
        <v>16.170713548046205</v>
      </c>
      <c r="H21" s="1">
        <f t="shared" si="2"/>
        <v>3.5</v>
      </c>
      <c r="I21" s="1">
        <f t="shared" si="1"/>
        <v>10471.2</v>
      </c>
    </row>
    <row r="22" spans="1:9" ht="18">
      <c r="A22" s="29" t="s">
        <v>1</v>
      </c>
      <c r="B22" s="49">
        <f>749.4-34.5</f>
        <v>714.9</v>
      </c>
      <c r="C22" s="50">
        <v>3253.3</v>
      </c>
      <c r="D22" s="51">
        <f>173.9+19+7.6+19.5+89.8+0.1+92.4+48.6+202.1+56.1</f>
        <v>709.1000000000001</v>
      </c>
      <c r="E22" s="1">
        <f>D22/D18*100</f>
        <v>1.6222980763951171</v>
      </c>
      <c r="F22" s="1">
        <f t="shared" si="3"/>
        <v>99.18869771996086</v>
      </c>
      <c r="G22" s="1">
        <f t="shared" si="0"/>
        <v>21.796329880429106</v>
      </c>
      <c r="H22" s="1">
        <f t="shared" si="2"/>
        <v>5.799999999999841</v>
      </c>
      <c r="I22" s="1">
        <f t="shared" si="1"/>
        <v>2544.2</v>
      </c>
    </row>
    <row r="23" spans="1:9" ht="18">
      <c r="A23" s="29" t="s">
        <v>0</v>
      </c>
      <c r="B23" s="49">
        <f>5612.6+1200.8</f>
        <v>6813.400000000001</v>
      </c>
      <c r="C23" s="50">
        <v>24676.2</v>
      </c>
      <c r="D23" s="51">
        <f>96.9+173.9+611.9+463.4+109.9+698.9+114.7+0.2+702.4+1027.2+819.6+1945.5</f>
        <v>6764.5</v>
      </c>
      <c r="E23" s="1">
        <f>D23/D18*100</f>
        <v>15.476005271153248</v>
      </c>
      <c r="F23" s="1">
        <f t="shared" si="3"/>
        <v>99.2822966507177</v>
      </c>
      <c r="G23" s="1">
        <f t="shared" si="0"/>
        <v>27.41305387377311</v>
      </c>
      <c r="H23" s="1">
        <f t="shared" si="2"/>
        <v>48.900000000000546</v>
      </c>
      <c r="I23" s="1">
        <f t="shared" si="1"/>
        <v>17911.7</v>
      </c>
    </row>
    <row r="24" spans="1:9" ht="18">
      <c r="A24" s="29" t="s">
        <v>15</v>
      </c>
      <c r="B24" s="49">
        <f>360.9-25.7</f>
        <v>335.2</v>
      </c>
      <c r="C24" s="50">
        <v>1528.1</v>
      </c>
      <c r="D24" s="51">
        <f>111+58.1+166.1</f>
        <v>335.2</v>
      </c>
      <c r="E24" s="1">
        <f>D24/D18*100</f>
        <v>0.7668795870929955</v>
      </c>
      <c r="F24" s="1">
        <f t="shared" si="3"/>
        <v>100</v>
      </c>
      <c r="G24" s="1">
        <f t="shared" si="0"/>
        <v>21.93573718997448</v>
      </c>
      <c r="H24" s="1">
        <f t="shared" si="2"/>
        <v>0</v>
      </c>
      <c r="I24" s="1">
        <f t="shared" si="1"/>
        <v>1192.8999999999999</v>
      </c>
    </row>
    <row r="25" spans="1:9" ht="18.75" thickBot="1">
      <c r="A25" s="29" t="s">
        <v>35</v>
      </c>
      <c r="B25" s="50">
        <f>B18-B20-B21-B22-B23-B24</f>
        <v>2858.399999999996</v>
      </c>
      <c r="C25" s="50">
        <f>C18-C20-C21-C22-C23-C24</f>
        <v>15024.300000000027</v>
      </c>
      <c r="D25" s="50">
        <f>D18-D20-D21-D22-D23-D24</f>
        <v>2790.0999999999995</v>
      </c>
      <c r="E25" s="1">
        <f>D25/D18*100</f>
        <v>6.383265918699781</v>
      </c>
      <c r="F25" s="1">
        <f t="shared" si="3"/>
        <v>97.61055135740287</v>
      </c>
      <c r="G25" s="1">
        <f t="shared" si="0"/>
        <v>18.57058232330288</v>
      </c>
      <c r="H25" s="1">
        <f t="shared" si="2"/>
        <v>68.29999999999654</v>
      </c>
      <c r="I25" s="1">
        <f t="shared" si="1"/>
        <v>12234.200000000026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10874.5+164.1</f>
        <v>11038.6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</f>
        <v>10019.9</v>
      </c>
      <c r="E33" s="3">
        <f>D33/D144*100</f>
        <v>5.102366615319982</v>
      </c>
      <c r="F33" s="3">
        <f>D33/B33*100</f>
        <v>90.77147464352363</v>
      </c>
      <c r="G33" s="3">
        <f t="shared" si="0"/>
        <v>23.85929069097386</v>
      </c>
      <c r="H33" s="3">
        <f t="shared" si="2"/>
        <v>1018.7000000000007</v>
      </c>
      <c r="I33" s="3">
        <f t="shared" si="1"/>
        <v>31975.899999999994</v>
      </c>
    </row>
    <row r="34" spans="1:9" ht="18">
      <c r="A34" s="29" t="s">
        <v>3</v>
      </c>
      <c r="B34" s="49">
        <v>7183.2</v>
      </c>
      <c r="C34" s="50">
        <v>29626.4</v>
      </c>
      <c r="D34" s="51">
        <f>1216.2+1064.6-0.1+1185.2+1240.8+0.1+1202.8+1206.8</f>
        <v>7116.4000000000015</v>
      </c>
      <c r="E34" s="1">
        <f>D34/D33*100</f>
        <v>71.02266489685528</v>
      </c>
      <c r="F34" s="1">
        <f t="shared" si="3"/>
        <v>99.07005234435908</v>
      </c>
      <c r="G34" s="1">
        <f t="shared" si="0"/>
        <v>24.02046823103719</v>
      </c>
      <c r="H34" s="1">
        <f t="shared" si="2"/>
        <v>66.79999999999836</v>
      </c>
      <c r="I34" s="1">
        <f t="shared" si="1"/>
        <v>22510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992.2</v>
      </c>
      <c r="C36" s="50">
        <v>2423.5</v>
      </c>
      <c r="D36" s="51">
        <f>6.5+2.8+10.2+0.8+23.6+67.7+80.5+1.3+36.1+6.9+3.3+7.6-0.1+154.9+32.2+23.8+2.3+86.1+23.3+3.4+0.7+1.8+4.8+6+11.6+1.8+11.8</f>
        <v>611.6999999999998</v>
      </c>
      <c r="E36" s="1">
        <f>D36/D33*100</f>
        <v>6.104851345821813</v>
      </c>
      <c r="F36" s="1">
        <f t="shared" si="3"/>
        <v>61.65087683934688</v>
      </c>
      <c r="G36" s="1">
        <f t="shared" si="0"/>
        <v>25.240354858675463</v>
      </c>
      <c r="H36" s="1">
        <f t="shared" si="2"/>
        <v>380.5000000000002</v>
      </c>
      <c r="I36" s="1">
        <f t="shared" si="1"/>
        <v>1811.8000000000002</v>
      </c>
    </row>
    <row r="37" spans="1:9" s="44" customFormat="1" ht="18.75">
      <c r="A37" s="23" t="s">
        <v>7</v>
      </c>
      <c r="B37" s="58">
        <f>118.3+22</f>
        <v>140.3</v>
      </c>
      <c r="C37" s="59">
        <f>493.5+22</f>
        <v>515.5</v>
      </c>
      <c r="D37" s="60">
        <f>19+12.3+0.1+11.9</f>
        <v>43.300000000000004</v>
      </c>
      <c r="E37" s="19">
        <f>D37/D33*100</f>
        <v>0.4321400413177777</v>
      </c>
      <c r="F37" s="19">
        <f t="shared" si="3"/>
        <v>30.862437633642198</v>
      </c>
      <c r="G37" s="19">
        <f t="shared" si="0"/>
        <v>8.399612027158101</v>
      </c>
      <c r="H37" s="19">
        <f t="shared" si="2"/>
        <v>97</v>
      </c>
      <c r="I37" s="19">
        <f t="shared" si="1"/>
        <v>472.2</v>
      </c>
    </row>
    <row r="38" spans="1:9" ht="18">
      <c r="A38" s="29" t="s">
        <v>15</v>
      </c>
      <c r="B38" s="49">
        <v>30.2</v>
      </c>
      <c r="C38" s="50">
        <v>47.2</v>
      </c>
      <c r="D38" s="50">
        <f>3.4+3.4+3.4</f>
        <v>10.2</v>
      </c>
      <c r="E38" s="1">
        <f>D38/D33*100</f>
        <v>0.10179742312797532</v>
      </c>
      <c r="F38" s="1">
        <f t="shared" si="3"/>
        <v>33.77483443708609</v>
      </c>
      <c r="G38" s="1">
        <f t="shared" si="0"/>
        <v>21.610169491525422</v>
      </c>
      <c r="H38" s="1">
        <f t="shared" si="2"/>
        <v>20</v>
      </c>
      <c r="I38" s="1">
        <f t="shared" si="1"/>
        <v>37</v>
      </c>
    </row>
    <row r="39" spans="1:9" ht="18.75" thickBot="1">
      <c r="A39" s="29" t="s">
        <v>35</v>
      </c>
      <c r="B39" s="49">
        <f>B33-B34-B36-B37-B35-B38</f>
        <v>2692.7000000000007</v>
      </c>
      <c r="C39" s="49">
        <f>C33-C34-C36-C37-C35-C38</f>
        <v>9383.199999999993</v>
      </c>
      <c r="D39" s="49">
        <f>D33-D34-D36-D37-D35-D38</f>
        <v>2238.2999999999984</v>
      </c>
      <c r="E39" s="1">
        <f>D39/D33*100</f>
        <v>22.338546292877158</v>
      </c>
      <c r="F39" s="1">
        <f t="shared" si="3"/>
        <v>83.12474468006083</v>
      </c>
      <c r="G39" s="1">
        <f t="shared" si="0"/>
        <v>23.854335407963166</v>
      </c>
      <c r="H39" s="1">
        <f>B39-D39</f>
        <v>454.40000000000236</v>
      </c>
      <c r="I39" s="1">
        <f t="shared" si="1"/>
        <v>7144.899999999995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f>192.2+32.5</f>
        <v>224.7</v>
      </c>
      <c r="C43" s="53">
        <f>768.4+32.5</f>
        <v>800.9</v>
      </c>
      <c r="D43" s="54">
        <f>17.7+12.2+11.2+51.1+0.8+30</f>
        <v>122.99999999999999</v>
      </c>
      <c r="E43" s="3">
        <f>D43/D144*100</f>
        <v>0.06263446677954447</v>
      </c>
      <c r="F43" s="3">
        <f>D43/B43*100</f>
        <v>54.73965287049399</v>
      </c>
      <c r="G43" s="3">
        <f t="shared" si="0"/>
        <v>15.357722562117615</v>
      </c>
      <c r="H43" s="3">
        <f t="shared" si="2"/>
        <v>101.7</v>
      </c>
      <c r="I43" s="3">
        <f t="shared" si="1"/>
        <v>677.9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1674.7+87.1</f>
        <v>1761.8</v>
      </c>
      <c r="C45" s="53">
        <f>6659.3+87.1</f>
        <v>6746.400000000001</v>
      </c>
      <c r="D45" s="54">
        <f>193+223+8.7+101.1+200.9+9+241+299.2+7.6+43.6+283.1</f>
        <v>1610.1999999999998</v>
      </c>
      <c r="E45" s="3">
        <f>D45/D144*100</f>
        <v>0.8199513691741668</v>
      </c>
      <c r="F45" s="3">
        <f>D45/B45*100</f>
        <v>91.39516403678056</v>
      </c>
      <c r="G45" s="3">
        <f aca="true" t="shared" si="4" ref="G45:G75">D45/C45*100</f>
        <v>23.86754417170639</v>
      </c>
      <c r="H45" s="3">
        <f>B45-D45</f>
        <v>151.60000000000014</v>
      </c>
      <c r="I45" s="3">
        <f aca="true" t="shared" si="5" ref="I45:I76">C45-D45</f>
        <v>5136.200000000001</v>
      </c>
    </row>
    <row r="46" spans="1:9" ht="18">
      <c r="A46" s="29" t="s">
        <v>3</v>
      </c>
      <c r="B46" s="49">
        <v>1353.3</v>
      </c>
      <c r="C46" s="50">
        <v>5755.9</v>
      </c>
      <c r="D46" s="51">
        <f>193+222.7+1.6+196.4+240.9+0.1+199.7+265.9</f>
        <v>1320.3000000000002</v>
      </c>
      <c r="E46" s="1">
        <f>D46/D45*100</f>
        <v>81.99602533846729</v>
      </c>
      <c r="F46" s="1">
        <f aca="true" t="shared" si="6" ref="F46:F73">D46/B46*100</f>
        <v>97.56151629350478</v>
      </c>
      <c r="G46" s="1">
        <f t="shared" si="4"/>
        <v>22.938202540002436</v>
      </c>
      <c r="H46" s="1">
        <f aca="true" t="shared" si="7" ref="H46:H73">B46-D46</f>
        <v>32.99999999999977</v>
      </c>
      <c r="I46" s="1">
        <f t="shared" si="5"/>
        <v>4435.599999999999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13.4</v>
      </c>
      <c r="C48" s="50">
        <v>60.2</v>
      </c>
      <c r="D48" s="51">
        <f>3.8+1+5.7</f>
        <v>10.5</v>
      </c>
      <c r="E48" s="1">
        <f>D48/D45*100</f>
        <v>0.6520929077133276</v>
      </c>
      <c r="F48" s="1">
        <f t="shared" si="6"/>
        <v>78.35820895522387</v>
      </c>
      <c r="G48" s="1">
        <f t="shared" si="4"/>
        <v>17.441860465116278</v>
      </c>
      <c r="H48" s="1">
        <f t="shared" si="7"/>
        <v>2.9000000000000004</v>
      </c>
      <c r="I48" s="1">
        <f t="shared" si="5"/>
        <v>49.7</v>
      </c>
    </row>
    <row r="49" spans="1:9" ht="18">
      <c r="A49" s="29" t="s">
        <v>0</v>
      </c>
      <c r="B49" s="49">
        <v>253.7</v>
      </c>
      <c r="C49" s="50">
        <v>538.3</v>
      </c>
      <c r="D49" s="51">
        <f>4.7+90.3+4.8+67.1+3.1+1.1</f>
        <v>171.09999999999997</v>
      </c>
      <c r="E49" s="1">
        <f>D49/D45*100</f>
        <v>10.626009191404794</v>
      </c>
      <c r="F49" s="1">
        <f t="shared" si="6"/>
        <v>67.44186046511626</v>
      </c>
      <c r="G49" s="1">
        <f t="shared" si="4"/>
        <v>31.785249860672483</v>
      </c>
      <c r="H49" s="1">
        <f t="shared" si="7"/>
        <v>82.60000000000002</v>
      </c>
      <c r="I49" s="1">
        <f t="shared" si="5"/>
        <v>367.2</v>
      </c>
    </row>
    <row r="50" spans="1:9" ht="18.75" thickBot="1">
      <c r="A50" s="29" t="s">
        <v>35</v>
      </c>
      <c r="B50" s="50">
        <f>B45-B46-B49-B48-B47</f>
        <v>141.1</v>
      </c>
      <c r="C50" s="50">
        <f>C45-C46-C49-C48-C47</f>
        <v>390.800000000001</v>
      </c>
      <c r="D50" s="50">
        <f>D45-D46-D49-D48-D47</f>
        <v>108.29999999999967</v>
      </c>
      <c r="E50" s="1">
        <f>D50/D45*100</f>
        <v>6.725872562414587</v>
      </c>
      <c r="F50" s="1">
        <f t="shared" si="6"/>
        <v>76.75407512402528</v>
      </c>
      <c r="G50" s="1">
        <f t="shared" si="4"/>
        <v>27.712384851586336</v>
      </c>
      <c r="H50" s="1">
        <f t="shared" si="7"/>
        <v>32.800000000000324</v>
      </c>
      <c r="I50" s="1">
        <f t="shared" si="5"/>
        <v>282.5000000000013</v>
      </c>
    </row>
    <row r="51" spans="1:9" ht="18.75" thickBot="1">
      <c r="A51" s="28" t="s">
        <v>4</v>
      </c>
      <c r="B51" s="52">
        <f>3553.8+326.7</f>
        <v>3880.5</v>
      </c>
      <c r="C51" s="53">
        <f>13881+326.7</f>
        <v>14207.7</v>
      </c>
      <c r="D51" s="54">
        <f>260.4+84.2+35.2+27.7+429.5+47.7+9.2+7.6+47.3+0.3+0.2+338.5+6.8+0.3+85+62.8+1.5+472.7+38.5+0.1+49.4+117.6+311.3+37+71.4+15+489.6+106.2+9.7</f>
        <v>3162.7</v>
      </c>
      <c r="E51" s="3">
        <f>D51/D144*100</f>
        <v>1.6105205535257343</v>
      </c>
      <c r="F51" s="3">
        <f>D51/B51*100</f>
        <v>81.50238371343899</v>
      </c>
      <c r="G51" s="3">
        <f t="shared" si="4"/>
        <v>22.26046439606692</v>
      </c>
      <c r="H51" s="3">
        <f>B51-D51</f>
        <v>717.8000000000002</v>
      </c>
      <c r="I51" s="3">
        <f t="shared" si="5"/>
        <v>11045</v>
      </c>
    </row>
    <row r="52" spans="1:9" ht="18">
      <c r="A52" s="29" t="s">
        <v>3</v>
      </c>
      <c r="B52" s="49">
        <v>2042.1</v>
      </c>
      <c r="C52" s="50">
        <v>8729.1</v>
      </c>
      <c r="D52" s="51">
        <f>260.4+390.2+0.1+271.7+395.7-0.1+282.9+391.4</f>
        <v>1992.3000000000002</v>
      </c>
      <c r="E52" s="1">
        <f>D52/D51*100</f>
        <v>62.993644670692774</v>
      </c>
      <c r="F52" s="1">
        <f t="shared" si="6"/>
        <v>97.56133392096372</v>
      </c>
      <c r="G52" s="1">
        <f t="shared" si="4"/>
        <v>22.823658796439496</v>
      </c>
      <c r="H52" s="1">
        <f t="shared" si="7"/>
        <v>49.79999999999973</v>
      </c>
      <c r="I52" s="1">
        <f t="shared" si="5"/>
        <v>6736.8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f>35.8+16.8</f>
        <v>52.599999999999994</v>
      </c>
      <c r="C54" s="50">
        <f>189.7+74</f>
        <v>263.7</v>
      </c>
      <c r="D54" s="51">
        <f>1.7+1.5+4.6+9.7+8</f>
        <v>25.5</v>
      </c>
      <c r="E54" s="1">
        <f>D54/D51*100</f>
        <v>0.8062731210674424</v>
      </c>
      <c r="F54" s="1">
        <f t="shared" si="6"/>
        <v>48.47908745247149</v>
      </c>
      <c r="G54" s="1">
        <f t="shared" si="4"/>
        <v>9.670079635949943</v>
      </c>
      <c r="H54" s="1">
        <f t="shared" si="7"/>
        <v>27.099999999999994</v>
      </c>
      <c r="I54" s="1">
        <f t="shared" si="5"/>
        <v>238.2</v>
      </c>
    </row>
    <row r="55" spans="1:9" ht="18">
      <c r="A55" s="29" t="s">
        <v>0</v>
      </c>
      <c r="B55" s="49">
        <v>229.3</v>
      </c>
      <c r="C55" s="50">
        <v>709.9</v>
      </c>
      <c r="D55" s="51">
        <f>1.1+7.6+5.9+0.3+0.2+6.8+0.3+67.1+16.4-0.1+19.5+19.3+76.2</f>
        <v>220.60000000000002</v>
      </c>
      <c r="E55" s="1">
        <f>D55/D51*100</f>
        <v>6.975052961077561</v>
      </c>
      <c r="F55" s="1">
        <f t="shared" si="6"/>
        <v>96.20584387265592</v>
      </c>
      <c r="G55" s="1">
        <f t="shared" si="4"/>
        <v>31.074799267502467</v>
      </c>
      <c r="H55" s="1">
        <f t="shared" si="7"/>
        <v>8.699999999999989</v>
      </c>
      <c r="I55" s="1">
        <f t="shared" si="5"/>
        <v>489.29999999999995</v>
      </c>
    </row>
    <row r="56" spans="1:9" ht="18.75" thickBot="1">
      <c r="A56" s="29" t="s">
        <v>35</v>
      </c>
      <c r="B56" s="50">
        <f>B51-B52-B55-B54-B53</f>
        <v>1556.5000000000002</v>
      </c>
      <c r="C56" s="50">
        <f>C51-C52-C55-C54-C53</f>
        <v>4494.100000000001</v>
      </c>
      <c r="D56" s="50">
        <f>D51-D52-D55-D54-D53</f>
        <v>924.2999999999996</v>
      </c>
      <c r="E56" s="1">
        <f>D56/D51*100</f>
        <v>29.225029247162226</v>
      </c>
      <c r="F56" s="1">
        <f t="shared" si="6"/>
        <v>59.38323160937998</v>
      </c>
      <c r="G56" s="1">
        <f t="shared" si="4"/>
        <v>20.56696557708995</v>
      </c>
      <c r="H56" s="1">
        <f t="shared" si="7"/>
        <v>632.2000000000006</v>
      </c>
      <c r="I56" s="1">
        <f>C56-D56</f>
        <v>3569.8000000000015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f>544.9+47.7</f>
        <v>592.6</v>
      </c>
      <c r="C58" s="53">
        <f>3033.3+2447.7</f>
        <v>5481</v>
      </c>
      <c r="D58" s="54">
        <f>36.1+65.6+6.5+0.4+1.3+60.3+3+39.2+0.1+14.1+69.1+5.2-0.1+1.8+81+43+6.1+66</f>
        <v>498.69999999999993</v>
      </c>
      <c r="E58" s="3">
        <f>D58/D144*100</f>
        <v>0.25394966327608803</v>
      </c>
      <c r="F58" s="3">
        <f>D58/B58*100</f>
        <v>84.15457306783664</v>
      </c>
      <c r="G58" s="3">
        <f t="shared" si="4"/>
        <v>9.098704615945993</v>
      </c>
      <c r="H58" s="3">
        <f>B58-D58</f>
        <v>93.90000000000009</v>
      </c>
      <c r="I58" s="3">
        <f t="shared" si="5"/>
        <v>4982.3</v>
      </c>
    </row>
    <row r="59" spans="1:9" ht="18">
      <c r="A59" s="29" t="s">
        <v>3</v>
      </c>
      <c r="B59" s="49">
        <f>325.1+1</f>
        <v>326.1</v>
      </c>
      <c r="C59" s="50">
        <v>1426.1</v>
      </c>
      <c r="D59" s="51">
        <f>36.1+65.6+39.2+69.1+1.8+43+66</f>
        <v>320.79999999999995</v>
      </c>
      <c r="E59" s="1">
        <f>D59/D58*100</f>
        <v>64.32725085221576</v>
      </c>
      <c r="F59" s="1">
        <f t="shared" si="6"/>
        <v>98.37473167739955</v>
      </c>
      <c r="G59" s="1">
        <f t="shared" si="4"/>
        <v>22.49491620503471</v>
      </c>
      <c r="H59" s="1">
        <f t="shared" si="7"/>
        <v>5.300000000000068</v>
      </c>
      <c r="I59" s="1">
        <f t="shared" si="5"/>
        <v>1105.3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154.3-1</f>
        <v>153.3</v>
      </c>
      <c r="C61" s="50">
        <v>420.8</v>
      </c>
      <c r="D61" s="51">
        <f>1.3+56.1+4.9+63.5+3.5</f>
        <v>129.3</v>
      </c>
      <c r="E61" s="1">
        <f>D61/D58*100</f>
        <v>25.927411269300187</v>
      </c>
      <c r="F61" s="1">
        <f t="shared" si="6"/>
        <v>84.34442270058709</v>
      </c>
      <c r="G61" s="1">
        <f t="shared" si="4"/>
        <v>30.727186311787076</v>
      </c>
      <c r="H61" s="1">
        <f t="shared" si="7"/>
        <v>24</v>
      </c>
      <c r="I61" s="1">
        <f t="shared" si="5"/>
        <v>291.5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113.19999999999999</v>
      </c>
      <c r="C63" s="50">
        <f>C58-C59-C61-C62-C60</f>
        <v>505.1999999999998</v>
      </c>
      <c r="D63" s="50">
        <f>D58-D59-D61-D62-D60</f>
        <v>48.599999999999966</v>
      </c>
      <c r="E63" s="1">
        <f>D63/D58*100</f>
        <v>9.745337878484053</v>
      </c>
      <c r="F63" s="1">
        <f t="shared" si="6"/>
        <v>42.93286219081269</v>
      </c>
      <c r="G63" s="1">
        <f t="shared" si="4"/>
        <v>9.619952494061755</v>
      </c>
      <c r="H63" s="1">
        <f t="shared" si="7"/>
        <v>64.60000000000002</v>
      </c>
      <c r="I63" s="1">
        <f t="shared" si="5"/>
        <v>456.59999999999985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224</v>
      </c>
      <c r="C68" s="53">
        <f>C69+C70</f>
        <v>476.7</v>
      </c>
      <c r="D68" s="54">
        <f>SUM(D69:D70)</f>
        <v>86.1</v>
      </c>
      <c r="E68" s="42">
        <f>D68/D144*100</f>
        <v>0.04384412674568113</v>
      </c>
      <c r="F68" s="112">
        <f>D68/B68*100</f>
        <v>38.4375</v>
      </c>
      <c r="G68" s="3">
        <f t="shared" si="4"/>
        <v>18.06167400881057</v>
      </c>
      <c r="H68" s="3">
        <f>B68-D68</f>
        <v>137.9</v>
      </c>
      <c r="I68" s="3">
        <f t="shared" si="5"/>
        <v>390.6</v>
      </c>
    </row>
    <row r="69" spans="1:9" ht="18">
      <c r="A69" s="29" t="s">
        <v>8</v>
      </c>
      <c r="B69" s="49">
        <f>137.9+85.9</f>
        <v>223.8</v>
      </c>
      <c r="C69" s="50">
        <f>390.6+85.9</f>
        <v>476.5</v>
      </c>
      <c r="D69" s="51">
        <f>0.2+12.6+73.3</f>
        <v>86.1</v>
      </c>
      <c r="E69" s="1">
        <f>D69/D68*100</f>
        <v>100</v>
      </c>
      <c r="F69" s="1">
        <f t="shared" si="6"/>
        <v>38.47184986595174</v>
      </c>
      <c r="G69" s="1">
        <f t="shared" si="4"/>
        <v>18.06925498426023</v>
      </c>
      <c r="H69" s="1">
        <f t="shared" si="7"/>
        <v>137.70000000000002</v>
      </c>
      <c r="I69" s="1">
        <f t="shared" si="5"/>
        <v>390.4</v>
      </c>
    </row>
    <row r="70" spans="1:9" ht="18.75" thickBot="1">
      <c r="A70" s="29" t="s">
        <v>9</v>
      </c>
      <c r="B70" s="49">
        <f>0.2</f>
        <v>0.2</v>
      </c>
      <c r="C70" s="50">
        <f>0.2</f>
        <v>0.2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0.2</v>
      </c>
      <c r="I70" s="1">
        <f t="shared" si="5"/>
        <v>0.2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2500-519.5</f>
        <v>1980.5</v>
      </c>
      <c r="C76" s="69">
        <f>10000-6127.8</f>
        <v>3872.2</v>
      </c>
      <c r="D76" s="70"/>
      <c r="E76" s="48"/>
      <c r="F76" s="48"/>
      <c r="G76" s="48"/>
      <c r="H76" s="48">
        <f>B76-D76</f>
        <v>1980.5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12234.7+536.8</f>
        <v>12771.5</v>
      </c>
      <c r="C89" s="53">
        <f>47925.9+539.6</f>
        <v>48465.5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</f>
        <v>10610.999999999998</v>
      </c>
      <c r="E89" s="3">
        <f>D89/D144*100</f>
        <v>5.4033685121768</v>
      </c>
      <c r="F89" s="3">
        <f aca="true" t="shared" si="10" ref="F89:F95">D89/B89*100</f>
        <v>83.08342794503385</v>
      </c>
      <c r="G89" s="3">
        <f t="shared" si="8"/>
        <v>21.89392454426344</v>
      </c>
      <c r="H89" s="3">
        <f aca="true" t="shared" si="11" ref="H89:H95">B89-D89</f>
        <v>2160.500000000002</v>
      </c>
      <c r="I89" s="3">
        <f t="shared" si="9"/>
        <v>37854.5</v>
      </c>
    </row>
    <row r="90" spans="1:9" ht="18">
      <c r="A90" s="29" t="s">
        <v>3</v>
      </c>
      <c r="B90" s="49">
        <f>9715.8-8.2+47.3</f>
        <v>9754.899999999998</v>
      </c>
      <c r="C90" s="50">
        <v>39638</v>
      </c>
      <c r="D90" s="51">
        <f>1167.3+36.1+0.8+0.4+161.9+1233.6+154.1+3-0.1+4.3+0.5+8.4+3.9+81.5+433.3+525.7+205+5.2+9.3+444.2+1273.5+170.1+45.1+1046.6+229.9+0.1+3.7+172.5+333.2+439.7+1159</f>
        <v>9351.800000000001</v>
      </c>
      <c r="E90" s="1">
        <f>D90/D89*100</f>
        <v>88.1330694562247</v>
      </c>
      <c r="F90" s="1">
        <f t="shared" si="10"/>
        <v>95.86771776235537</v>
      </c>
      <c r="G90" s="1">
        <f t="shared" si="8"/>
        <v>23.593016802058635</v>
      </c>
      <c r="H90" s="1">
        <f t="shared" si="11"/>
        <v>403.0999999999967</v>
      </c>
      <c r="I90" s="1">
        <f t="shared" si="9"/>
        <v>30286.199999999997</v>
      </c>
    </row>
    <row r="91" spans="1:9" ht="18">
      <c r="A91" s="29" t="s">
        <v>33</v>
      </c>
      <c r="B91" s="49">
        <v>955</v>
      </c>
      <c r="C91" s="50">
        <v>2406.5</v>
      </c>
      <c r="D91" s="51">
        <f>15.4+0.6+1.6+3.7+2.5+4.3+0.4+4.2+0.8+56.6+102.4</f>
        <v>192.5</v>
      </c>
      <c r="E91" s="1">
        <f>D91/D89*100</f>
        <v>1.814155122043163</v>
      </c>
      <c r="F91" s="1">
        <f t="shared" si="10"/>
        <v>20.157068062827225</v>
      </c>
      <c r="G91" s="1">
        <f t="shared" si="8"/>
        <v>7.999168917515063</v>
      </c>
      <c r="H91" s="1">
        <f t="shared" si="11"/>
        <v>762.5</v>
      </c>
      <c r="I91" s="1">
        <f t="shared" si="9"/>
        <v>2214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2061.600000000002</v>
      </c>
      <c r="C93" s="127">
        <f>C89-C90-C91-C92</f>
        <v>6421</v>
      </c>
      <c r="D93" s="127">
        <f>D89-D90-D91-D92</f>
        <v>1066.699999999997</v>
      </c>
      <c r="E93" s="128">
        <f>D93/D89*100</f>
        <v>10.05277542173214</v>
      </c>
      <c r="F93" s="128">
        <f t="shared" si="10"/>
        <v>51.74136592937505</v>
      </c>
      <c r="G93" s="128">
        <f>D93/C93*100</f>
        <v>16.612677153091372</v>
      </c>
      <c r="H93" s="128">
        <f t="shared" si="11"/>
        <v>994.9000000000051</v>
      </c>
      <c r="I93" s="128">
        <f>C93-D93</f>
        <v>5354.300000000003</v>
      </c>
    </row>
    <row r="94" spans="1:9" ht="18.75">
      <c r="A94" s="135" t="s">
        <v>12</v>
      </c>
      <c r="B94" s="140">
        <f>14095.3+1900</f>
        <v>15995.3</v>
      </c>
      <c r="C94" s="142">
        <f>48638.3+1900</f>
        <v>50538.3</v>
      </c>
      <c r="D94" s="141">
        <f>3479.6+8.1+4.1+53.2+1101.8+1997.1+228.6+3048.1+0.1+314.6+1021.4+1907+2.5+299.7+94.1+2183.5+8</f>
        <v>15751.500000000002</v>
      </c>
      <c r="E94" s="134">
        <f>D94/D144*100</f>
        <v>8.021030922585325</v>
      </c>
      <c r="F94" s="138">
        <f t="shared" si="10"/>
        <v>98.47580226691592</v>
      </c>
      <c r="G94" s="125">
        <f>D94/C94*100</f>
        <v>31.167451220163716</v>
      </c>
      <c r="H94" s="139">
        <f t="shared" si="11"/>
        <v>243.79999999999745</v>
      </c>
      <c r="I94" s="134">
        <f>C94-D94</f>
        <v>34786.8</v>
      </c>
    </row>
    <row r="95" spans="1:9" ht="18.75" thickBot="1">
      <c r="A95" s="136" t="s">
        <v>110</v>
      </c>
      <c r="B95" s="143">
        <v>1128</v>
      </c>
      <c r="C95" s="144">
        <v>4853.7</v>
      </c>
      <c r="D95" s="145">
        <f>600+69+9+48.5+2.5+299.7</f>
        <v>1028.7</v>
      </c>
      <c r="E95" s="146">
        <f>D95/D94*100</f>
        <v>6.530806589848585</v>
      </c>
      <c r="F95" s="147">
        <f t="shared" si="10"/>
        <v>91.1968085106383</v>
      </c>
      <c r="G95" s="148">
        <f>D95/C95*100</f>
        <v>21.194140552568147</v>
      </c>
      <c r="H95" s="137">
        <f t="shared" si="11"/>
        <v>99.29999999999995</v>
      </c>
      <c r="I95" s="96">
        <f>C95-D95</f>
        <v>3825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1526.1+53.8</f>
        <v>1579.8999999999999</v>
      </c>
      <c r="C101" s="105">
        <f>6061.2+4589.8</f>
        <v>10651</v>
      </c>
      <c r="D101" s="90">
        <f>110.5+80.7+66.2+55.7+33+106.8+21.7+2.2+3.9+0.4+5.9+27.7+127.6+1.1+13.8+50.2+3.3+23.2+111+21.4+3.2+5.8+132.8+36.6+20.9</f>
        <v>1065.6</v>
      </c>
      <c r="E101" s="25">
        <f>D101/D144*100</f>
        <v>0.5426283560998585</v>
      </c>
      <c r="F101" s="25">
        <f>D101/B101*100</f>
        <v>67.44730679156909</v>
      </c>
      <c r="G101" s="25">
        <f aca="true" t="shared" si="12" ref="G101:G142">D101/C101*100</f>
        <v>10.004694394892498</v>
      </c>
      <c r="H101" s="25">
        <f aca="true" t="shared" si="13" ref="H101:H106">B101-D101</f>
        <v>514.3</v>
      </c>
      <c r="I101" s="25">
        <f aca="true" t="shared" si="14" ref="I101:I142">C101-D101</f>
        <v>9585.4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1375.5+50</f>
        <v>1425.5</v>
      </c>
      <c r="C103" s="51">
        <f>5036.9+4586</f>
        <v>9622.9</v>
      </c>
      <c r="D103" s="51">
        <f>110.3+80.7+66.2+32.9+19.7+106.6+21.7+3.9+5.8+27.6+127.6+1.1+0.1+13.7+10.7+3.3+110.8+21.4+3.1+2+132.8+20.9</f>
        <v>922.9</v>
      </c>
      <c r="E103" s="1">
        <f>D103/D101*100</f>
        <v>86.6084834834835</v>
      </c>
      <c r="F103" s="1">
        <f aca="true" t="shared" si="15" ref="F103:F142">D103/B103*100</f>
        <v>64.74219572079973</v>
      </c>
      <c r="G103" s="1">
        <f t="shared" si="12"/>
        <v>9.590663937066788</v>
      </c>
      <c r="H103" s="1">
        <f t="shared" si="13"/>
        <v>502.6</v>
      </c>
      <c r="I103" s="1">
        <f t="shared" si="14"/>
        <v>8700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154.39999999999986</v>
      </c>
      <c r="C105" s="100">
        <f>C101-C102-C103</f>
        <v>1028.1000000000004</v>
      </c>
      <c r="D105" s="100">
        <f>D101-D102-D103</f>
        <v>142.69999999999993</v>
      </c>
      <c r="E105" s="96">
        <f>D105/D101*100</f>
        <v>13.39151651651651</v>
      </c>
      <c r="F105" s="96">
        <f t="shared" si="15"/>
        <v>92.42227979274615</v>
      </c>
      <c r="G105" s="96">
        <f t="shared" si="12"/>
        <v>13.879972765295193</v>
      </c>
      <c r="H105" s="96">
        <f>B105-D105</f>
        <v>11.699999999999932</v>
      </c>
      <c r="I105" s="96">
        <f t="shared" si="14"/>
        <v>885.4000000000004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51313.600000000006</v>
      </c>
      <c r="C106" s="93">
        <f>SUM(C107:C141)-C114-C118+C142-C134-C135-C108-C111-C121-C122-C132</f>
        <v>149269.8</v>
      </c>
      <c r="D106" s="93">
        <f>SUM(D107:D141)-D114-D118+D142-D134-D135-D108-D111-D121-D122-D132</f>
        <v>32467.100000000002</v>
      </c>
      <c r="E106" s="94">
        <f>D106/D144*100</f>
        <v>16.533004035594708</v>
      </c>
      <c r="F106" s="94">
        <f>D106/B106*100</f>
        <v>63.271920114745406</v>
      </c>
      <c r="G106" s="94">
        <f t="shared" si="12"/>
        <v>21.75061532875371</v>
      </c>
      <c r="H106" s="94">
        <f t="shared" si="13"/>
        <v>18846.500000000004</v>
      </c>
      <c r="I106" s="94">
        <f t="shared" si="14"/>
        <v>116802.69999999998</v>
      </c>
    </row>
    <row r="107" spans="1:9" ht="37.5">
      <c r="A107" s="34" t="s">
        <v>67</v>
      </c>
      <c r="B107" s="78">
        <f>600.8+137.3</f>
        <v>738.0999999999999</v>
      </c>
      <c r="C107" s="74">
        <f>1662.5+137.3</f>
        <v>1799.8</v>
      </c>
      <c r="D107" s="79">
        <f>114.2+9+1.8-0.1+90.7+22.4+38.1+76.9+3.3+8.3+1.4+33.8+39+2.5</f>
        <v>441.3</v>
      </c>
      <c r="E107" s="6">
        <f>D107/D106*100</f>
        <v>1.3592221048384363</v>
      </c>
      <c r="F107" s="6">
        <f t="shared" si="15"/>
        <v>59.78864652486114</v>
      </c>
      <c r="G107" s="6">
        <f t="shared" si="12"/>
        <v>24.519391043449275</v>
      </c>
      <c r="H107" s="6">
        <f aca="true" t="shared" si="16" ref="H107:H142">B107-D107</f>
        <v>296.7999999999999</v>
      </c>
      <c r="I107" s="6">
        <f t="shared" si="14"/>
        <v>1358.5</v>
      </c>
    </row>
    <row r="108" spans="1:9" ht="18">
      <c r="A108" s="29" t="s">
        <v>33</v>
      </c>
      <c r="B108" s="81">
        <v>336</v>
      </c>
      <c r="C108" s="51">
        <v>823.7</v>
      </c>
      <c r="D108" s="82">
        <f>96.8+90.7+64.1</f>
        <v>251.6</v>
      </c>
      <c r="E108" s="1"/>
      <c r="F108" s="1">
        <f t="shared" si="15"/>
        <v>74.88095238095238</v>
      </c>
      <c r="G108" s="1">
        <f t="shared" si="12"/>
        <v>30.545101371858685</v>
      </c>
      <c r="H108" s="1">
        <f t="shared" si="16"/>
        <v>84.4</v>
      </c>
      <c r="I108" s="1">
        <f t="shared" si="14"/>
        <v>572.1</v>
      </c>
    </row>
    <row r="109" spans="1:9" ht="34.5" customHeight="1">
      <c r="A109" s="17" t="s">
        <v>100</v>
      </c>
      <c r="B109" s="80">
        <v>227.2</v>
      </c>
      <c r="C109" s="68">
        <v>903.8</v>
      </c>
      <c r="D109" s="79">
        <f>20.7+31.6</f>
        <v>52.3</v>
      </c>
      <c r="E109" s="6">
        <f>D109/D106*100</f>
        <v>0.16108614566746027</v>
      </c>
      <c r="F109" s="6">
        <f>D109/B109*100</f>
        <v>23.0193661971831</v>
      </c>
      <c r="G109" s="6">
        <f t="shared" si="12"/>
        <v>5.786678468687763</v>
      </c>
      <c r="H109" s="6">
        <f t="shared" si="16"/>
        <v>174.89999999999998</v>
      </c>
      <c r="I109" s="6">
        <f t="shared" si="14"/>
        <v>851.5</v>
      </c>
    </row>
    <row r="110" spans="1:9" s="44" customFormat="1" ht="34.5" customHeight="1">
      <c r="A110" s="17" t="s">
        <v>75</v>
      </c>
      <c r="B110" s="80">
        <f>20.9+12.8</f>
        <v>33.7</v>
      </c>
      <c r="C110" s="60">
        <f>71.8+12.8</f>
        <v>84.6</v>
      </c>
      <c r="D110" s="83">
        <f>5.3+5.3+0.5</f>
        <v>11.1</v>
      </c>
      <c r="E110" s="6">
        <f>D110/D106*100</f>
        <v>0.03418845539022579</v>
      </c>
      <c r="F110" s="6">
        <f t="shared" si="15"/>
        <v>32.937685459940646</v>
      </c>
      <c r="G110" s="6">
        <f t="shared" si="12"/>
        <v>13.120567375886525</v>
      </c>
      <c r="H110" s="6">
        <f t="shared" si="16"/>
        <v>22.6</v>
      </c>
      <c r="I110" s="6">
        <f t="shared" si="14"/>
        <v>73.5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16.7</v>
      </c>
      <c r="C112" s="68">
        <v>67.4</v>
      </c>
      <c r="D112" s="79">
        <f>5.5+5.4+5.5</f>
        <v>16.4</v>
      </c>
      <c r="E112" s="6">
        <f>D112/D106*100</f>
        <v>0.05051267282880208</v>
      </c>
      <c r="F112" s="6">
        <f t="shared" si="15"/>
        <v>98.20359281437125</v>
      </c>
      <c r="G112" s="6">
        <f t="shared" si="12"/>
        <v>24.332344213649847</v>
      </c>
      <c r="H112" s="6">
        <f t="shared" si="16"/>
        <v>0.3000000000000007</v>
      </c>
      <c r="I112" s="6">
        <f t="shared" si="14"/>
        <v>51.00000000000001</v>
      </c>
    </row>
    <row r="113" spans="1:9" ht="37.5">
      <c r="A113" s="17" t="s">
        <v>47</v>
      </c>
      <c r="B113" s="80">
        <v>443.5</v>
      </c>
      <c r="C113" s="68">
        <v>1532.5</v>
      </c>
      <c r="D113" s="79">
        <f>96.4+0.6+6.3+86+10.4+21.5+5.3+0.1+11.6+102.1</f>
        <v>340.3</v>
      </c>
      <c r="E113" s="6">
        <f>D113/D106*100</f>
        <v>1.0481379611976431</v>
      </c>
      <c r="F113" s="6">
        <f t="shared" si="15"/>
        <v>76.73055242390079</v>
      </c>
      <c r="G113" s="6">
        <f t="shared" si="12"/>
        <v>22.205546492659053</v>
      </c>
      <c r="H113" s="6">
        <f t="shared" si="16"/>
        <v>103.19999999999999</v>
      </c>
      <c r="I113" s="6">
        <f t="shared" si="14"/>
        <v>1192.2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0.11088147694127284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108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108</v>
      </c>
      <c r="I116" s="6">
        <f t="shared" si="14"/>
        <v>245.2</v>
      </c>
    </row>
    <row r="117" spans="1:9" s="2" customFormat="1" ht="18.75">
      <c r="A117" s="17" t="s">
        <v>16</v>
      </c>
      <c r="B117" s="80">
        <f>61.5+4.8</f>
        <v>66.3</v>
      </c>
      <c r="C117" s="60">
        <f>199.6+4.8</f>
        <v>204.4</v>
      </c>
      <c r="D117" s="79">
        <f>1.6+18.3+17.8+0.8+2.2+4+0.6+16.7</f>
        <v>62</v>
      </c>
      <c r="E117" s="6">
        <f>D117/D106*100</f>
        <v>0.190962543621081</v>
      </c>
      <c r="F117" s="6">
        <f t="shared" si="15"/>
        <v>93.51432880844645</v>
      </c>
      <c r="G117" s="6">
        <f t="shared" si="12"/>
        <v>30.332681017612522</v>
      </c>
      <c r="H117" s="6">
        <f t="shared" si="16"/>
        <v>4.299999999999997</v>
      </c>
      <c r="I117" s="6">
        <f t="shared" si="14"/>
        <v>142.4</v>
      </c>
    </row>
    <row r="118" spans="1:9" s="39" customFormat="1" ht="18">
      <c r="A118" s="40" t="s">
        <v>54</v>
      </c>
      <c r="B118" s="81">
        <v>50.2</v>
      </c>
      <c r="C118" s="51">
        <v>150.8</v>
      </c>
      <c r="D118" s="82">
        <f>16.7+16.7+16.7</f>
        <v>50.099999999999994</v>
      </c>
      <c r="E118" s="1"/>
      <c r="F118" s="1">
        <f t="shared" si="15"/>
        <v>99.80079681274898</v>
      </c>
      <c r="G118" s="1">
        <f t="shared" si="12"/>
        <v>33.22281167108753</v>
      </c>
      <c r="H118" s="1">
        <f t="shared" si="16"/>
        <v>0.10000000000000853</v>
      </c>
      <c r="I118" s="1">
        <f t="shared" si="14"/>
        <v>100.70000000000002</v>
      </c>
    </row>
    <row r="119" spans="1:9" s="2" customFormat="1" ht="18.75">
      <c r="A119" s="17" t="s">
        <v>25</v>
      </c>
      <c r="B119" s="80">
        <f>300+249.6</f>
        <v>549.6</v>
      </c>
      <c r="C119" s="60">
        <f>1468.8+249.6</f>
        <v>1718.3999999999999</v>
      </c>
      <c r="D119" s="79">
        <f>249.6</f>
        <v>249.6</v>
      </c>
      <c r="E119" s="6">
        <f>D119/D106*100</f>
        <v>0.7687782401261585</v>
      </c>
      <c r="F119" s="6">
        <f t="shared" si="15"/>
        <v>45.41484716157205</v>
      </c>
      <c r="G119" s="6">
        <f t="shared" si="12"/>
        <v>14.52513966480447</v>
      </c>
      <c r="H119" s="6">
        <f t="shared" si="16"/>
        <v>300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f>524+70+553</f>
        <v>1147</v>
      </c>
      <c r="C120" s="60">
        <f>628+70+553</f>
        <v>1251</v>
      </c>
      <c r="D120" s="83">
        <f>110.6</f>
        <v>110.6</v>
      </c>
      <c r="E120" s="19">
        <f>D120/D106*100</f>
        <v>0.34065253749179936</v>
      </c>
      <c r="F120" s="6">
        <f t="shared" si="15"/>
        <v>9.642545771578028</v>
      </c>
      <c r="G120" s="6">
        <f t="shared" si="12"/>
        <v>8.840927258193444</v>
      </c>
      <c r="H120" s="6">
        <f t="shared" si="16"/>
        <v>1036.4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437</v>
      </c>
      <c r="C123" s="60">
        <v>2933.8</v>
      </c>
      <c r="D123" s="83">
        <f>21+0.9+174.2</f>
        <v>196.1</v>
      </c>
      <c r="E123" s="19">
        <f>D123/D106*100</f>
        <v>0.6039960452273224</v>
      </c>
      <c r="F123" s="6">
        <f t="shared" si="15"/>
        <v>44.87414187643021</v>
      </c>
      <c r="G123" s="6">
        <f t="shared" si="12"/>
        <v>6.684163883018609</v>
      </c>
      <c r="H123" s="6">
        <f t="shared" si="16"/>
        <v>240.9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0.40009732929642616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0.006160082052292936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116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f>56.9+27.9</f>
        <v>84.8</v>
      </c>
      <c r="C127" s="60">
        <f>101.4+27.9</f>
        <v>129.3</v>
      </c>
      <c r="D127" s="83">
        <f>3+3+4.9+21.9-0.1+12.2+1.6+6.9+7.8</f>
        <v>61.19999999999999</v>
      </c>
      <c r="E127" s="19">
        <f>D127/D106*100</f>
        <v>0.1884985108001638</v>
      </c>
      <c r="F127" s="6">
        <f t="shared" si="15"/>
        <v>72.1698113207547</v>
      </c>
      <c r="G127" s="6">
        <f t="shared" si="12"/>
        <v>47.33178654292342</v>
      </c>
      <c r="H127" s="6">
        <f t="shared" si="16"/>
        <v>23.60000000000001</v>
      </c>
      <c r="I127" s="6">
        <f t="shared" si="14"/>
        <v>68.10000000000002</v>
      </c>
    </row>
    <row r="128" spans="1:9" s="2" customFormat="1" ht="18.75">
      <c r="A128" s="17" t="s">
        <v>72</v>
      </c>
      <c r="B128" s="80">
        <v>52.2</v>
      </c>
      <c r="C128" s="60">
        <v>650</v>
      </c>
      <c r="D128" s="83"/>
      <c r="E128" s="19">
        <f>D128/D106*100</f>
        <v>0</v>
      </c>
      <c r="F128" s="6">
        <f t="shared" si="15"/>
        <v>0</v>
      </c>
      <c r="G128" s="6">
        <f t="shared" si="12"/>
        <v>0</v>
      </c>
      <c r="H128" s="6">
        <f t="shared" si="16"/>
        <v>52.2</v>
      </c>
      <c r="I128" s="6">
        <f t="shared" si="14"/>
        <v>650</v>
      </c>
    </row>
    <row r="129" spans="1:9" s="2" customFormat="1" ht="35.25" customHeight="1">
      <c r="A129" s="17" t="s">
        <v>71</v>
      </c>
      <c r="B129" s="80">
        <f>141.9+14.8</f>
        <v>156.70000000000002</v>
      </c>
      <c r="C129" s="60">
        <f>171.5+14.8</f>
        <v>186.3</v>
      </c>
      <c r="D129" s="83">
        <f>5.6+5.6+3.5+1.3</f>
        <v>16</v>
      </c>
      <c r="E129" s="19">
        <f>D129/D106*100</f>
        <v>0.04928065641834349</v>
      </c>
      <c r="F129" s="6">
        <f t="shared" si="15"/>
        <v>10.210593490746648</v>
      </c>
      <c r="G129" s="6">
        <f t="shared" si="12"/>
        <v>8.588298443370906</v>
      </c>
      <c r="H129" s="6">
        <f t="shared" si="16"/>
        <v>140.70000000000002</v>
      </c>
      <c r="I129" s="6">
        <f t="shared" si="14"/>
        <v>170.3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115</v>
      </c>
      <c r="B131" s="80">
        <v>265.1</v>
      </c>
      <c r="C131" s="60">
        <v>265.1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265.1</v>
      </c>
      <c r="I131" s="6">
        <f t="shared" si="14"/>
        <v>265.1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f>237.7+3.8</f>
        <v>241.5</v>
      </c>
      <c r="C133" s="60">
        <f>981.9+3.8</f>
        <v>985.6999999999999</v>
      </c>
      <c r="D133" s="83">
        <f>21.9+41.8+0.1+6.1+26+3.6+0.1+41-0.1+21.3+6.2+7.1+43.4+4.5</f>
        <v>222.99999999999997</v>
      </c>
      <c r="E133" s="19">
        <f>D133/D106*100</f>
        <v>0.6868491488306623</v>
      </c>
      <c r="F133" s="6">
        <f t="shared" si="15"/>
        <v>92.33954451345755</v>
      </c>
      <c r="G133" s="6">
        <f t="shared" si="12"/>
        <v>22.623516282844676</v>
      </c>
      <c r="H133" s="6">
        <f t="shared" si="16"/>
        <v>18.50000000000003</v>
      </c>
      <c r="I133" s="6">
        <f t="shared" si="14"/>
        <v>762.6999999999999</v>
      </c>
    </row>
    <row r="134" spans="1:9" s="39" customFormat="1" ht="18">
      <c r="A134" s="40" t="s">
        <v>54</v>
      </c>
      <c r="B134" s="81">
        <v>198.7</v>
      </c>
      <c r="C134" s="51">
        <v>848.7</v>
      </c>
      <c r="D134" s="82">
        <f>21.9+39.7+0.1+6.1+19+41-0.1+21.3+43.3</f>
        <v>192.3</v>
      </c>
      <c r="E134" s="1">
        <f>D134/D133*100</f>
        <v>86.23318385650227</v>
      </c>
      <c r="F134" s="1">
        <f aca="true" t="shared" si="17" ref="F134:F141">D134/B134*100</f>
        <v>96.77906391545044</v>
      </c>
      <c r="G134" s="1">
        <f t="shared" si="12"/>
        <v>22.658183103570167</v>
      </c>
      <c r="H134" s="1">
        <f t="shared" si="16"/>
        <v>6.399999999999977</v>
      </c>
      <c r="I134" s="1">
        <f t="shared" si="14"/>
        <v>656.4000000000001</v>
      </c>
    </row>
    <row r="135" spans="1:9" s="39" customFormat="1" ht="18">
      <c r="A135" s="29" t="s">
        <v>33</v>
      </c>
      <c r="B135" s="81">
        <v>18.8</v>
      </c>
      <c r="C135" s="51">
        <v>26.3</v>
      </c>
      <c r="D135" s="82">
        <f>7+6</f>
        <v>13</v>
      </c>
      <c r="E135" s="1">
        <f>D135/D133*100</f>
        <v>5.829596412556055</v>
      </c>
      <c r="F135" s="1">
        <f t="shared" si="17"/>
        <v>69.14893617021276</v>
      </c>
      <c r="G135" s="1">
        <f>D135/C135*100</f>
        <v>49.42965779467681</v>
      </c>
      <c r="H135" s="1">
        <f t="shared" si="16"/>
        <v>5.800000000000001</v>
      </c>
      <c r="I135" s="1">
        <f t="shared" si="14"/>
        <v>13.3</v>
      </c>
    </row>
    <row r="136" spans="1:9" s="2" customFormat="1" ht="56.25">
      <c r="A136" s="124" t="s">
        <v>117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1400</v>
      </c>
      <c r="C137" s="60">
        <v>6500</v>
      </c>
      <c r="D137" s="83">
        <f>241.3</f>
        <v>241.3</v>
      </c>
      <c r="E137" s="19">
        <f>D137/D106*100</f>
        <v>0.7432138996091427</v>
      </c>
      <c r="F137" s="113">
        <f t="shared" si="17"/>
        <v>17.235714285714288</v>
      </c>
      <c r="G137" s="6">
        <f t="shared" si="12"/>
        <v>3.7123076923076925</v>
      </c>
      <c r="H137" s="6">
        <f t="shared" si="16"/>
        <v>1158.7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1259.2</v>
      </c>
      <c r="C138" s="60">
        <v>6082.6</v>
      </c>
      <c r="D138" s="83">
        <f>626.1+43.8+40.3</f>
        <v>710.1999999999999</v>
      </c>
      <c r="E138" s="19">
        <f>D138/D106*100</f>
        <v>2.187445136769221</v>
      </c>
      <c r="F138" s="113">
        <f t="shared" si="17"/>
        <v>56.40088945362134</v>
      </c>
      <c r="G138" s="6">
        <f t="shared" si="12"/>
        <v>11.675928057080851</v>
      </c>
      <c r="H138" s="6">
        <f t="shared" si="16"/>
        <v>549.0000000000001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6.449605908750704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</f>
        <v>523.2</v>
      </c>
      <c r="E140" s="19">
        <f>D140/D106*100</f>
        <v>1.6114774648798322</v>
      </c>
      <c r="F140" s="113">
        <f t="shared" si="17"/>
        <v>97.2129319955407</v>
      </c>
      <c r="G140" s="6">
        <f t="shared" si="12"/>
        <v>97.2129319955407</v>
      </c>
      <c r="H140" s="6">
        <f t="shared" si="16"/>
        <v>15</v>
      </c>
      <c r="I140" s="6">
        <f t="shared" si="14"/>
        <v>15</v>
      </c>
      <c r="K140" s="45"/>
      <c r="L140" s="45"/>
    </row>
    <row r="141" spans="1:12" s="2" customFormat="1" ht="19.5" customHeight="1">
      <c r="A141" s="17" t="s">
        <v>65</v>
      </c>
      <c r="B141" s="80">
        <v>35188.7</v>
      </c>
      <c r="C141" s="60">
        <v>91632.1</v>
      </c>
      <c r="D141" s="83">
        <f>500.9+20883.8</f>
        <v>21384.7</v>
      </c>
      <c r="E141" s="19">
        <f>D141/D106*100</f>
        <v>65.86575333183437</v>
      </c>
      <c r="F141" s="6">
        <f t="shared" si="17"/>
        <v>60.77149766828557</v>
      </c>
      <c r="G141" s="6">
        <f t="shared" si="12"/>
        <v>23.337564019595753</v>
      </c>
      <c r="H141" s="6">
        <f t="shared" si="16"/>
        <v>13803.999999999996</v>
      </c>
      <c r="I141" s="6">
        <f t="shared" si="14"/>
        <v>70247.40000000001</v>
      </c>
      <c r="K141" s="103"/>
      <c r="L141" s="45"/>
    </row>
    <row r="142" spans="1:12" s="2" customFormat="1" ht="18.75">
      <c r="A142" s="17" t="s">
        <v>103</v>
      </c>
      <c r="B142" s="80">
        <v>5565.9</v>
      </c>
      <c r="C142" s="60">
        <v>22263.4</v>
      </c>
      <c r="D142" s="83">
        <f>1236.9+618.4+618.4+618.4+618.5+618.4+618.4+618.5</f>
        <v>5565.9</v>
      </c>
      <c r="E142" s="19">
        <f>D142/D106*100</f>
        <v>17.143200347428625</v>
      </c>
      <c r="F142" s="6">
        <f t="shared" si="15"/>
        <v>100</v>
      </c>
      <c r="G142" s="6">
        <f t="shared" si="12"/>
        <v>25.00022458384613</v>
      </c>
      <c r="H142" s="6">
        <f t="shared" si="16"/>
        <v>0</v>
      </c>
      <c r="I142" s="6">
        <f t="shared" si="14"/>
        <v>16697.5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55322.700000000004</v>
      </c>
      <c r="C143" s="84">
        <f>C43+C68+C71+C76+C78+C86+C101+C106+C99+C83+C97</f>
        <v>165070.59999999998</v>
      </c>
      <c r="D143" s="60">
        <f>D43+D68+D71+D76+D78+D86+D101+D106+D99+D83+D97</f>
        <v>33741.8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238215.1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196377.50000000006</v>
      </c>
      <c r="E144" s="38">
        <v>100</v>
      </c>
      <c r="F144" s="3">
        <f>D144/B144*100</f>
        <v>82.43704954052033</v>
      </c>
      <c r="G144" s="3">
        <f aca="true" t="shared" si="18" ref="G144:G150">D144/C144*100</f>
        <v>21.91266112226212</v>
      </c>
      <c r="H144" s="3">
        <f aca="true" t="shared" si="19" ref="H144:H150">B144-D144</f>
        <v>41837.59999999995</v>
      </c>
      <c r="I144" s="3">
        <f aca="true" t="shared" si="20" ref="I144:I150">C144-D144</f>
        <v>699805.2999999998</v>
      </c>
      <c r="K144" s="46"/>
      <c r="L144" s="47"/>
    </row>
    <row r="145" spans="1:12" ht="18.75">
      <c r="A145" s="23" t="s">
        <v>5</v>
      </c>
      <c r="B145" s="67">
        <f>B8+B20+B34+B52+B59+B90+B114+B118+B46+B134</f>
        <v>117929</v>
      </c>
      <c r="C145" s="67">
        <f>C8+C20+C34+C52+C59+C90+C114+C118+C46+C134</f>
        <v>507335.6</v>
      </c>
      <c r="D145" s="67">
        <f>D8+D20+D34+D52+D59+D90+D114+D118+D46+D134</f>
        <v>108915.00000000001</v>
      </c>
      <c r="E145" s="6">
        <f>D145/D144*100</f>
        <v>55.46205649832592</v>
      </c>
      <c r="F145" s="6">
        <f aca="true" t="shared" si="21" ref="F145:F156">D145/B145*100</f>
        <v>92.35641784463535</v>
      </c>
      <c r="G145" s="6">
        <f t="shared" si="18"/>
        <v>21.468038119146385</v>
      </c>
      <c r="H145" s="6">
        <f t="shared" si="19"/>
        <v>9013.999999999985</v>
      </c>
      <c r="I145" s="18">
        <f t="shared" si="20"/>
        <v>398420.6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31248.2</v>
      </c>
      <c r="C146" s="68">
        <f>C11+C23+C36+C55+C61+C91+C49+C135+C108+C111+C95+C132</f>
        <v>96347.79999999999</v>
      </c>
      <c r="D146" s="68">
        <f>D11+D23+D36+D55+D61+D91+D49+D135+D108+D111+D95+D132</f>
        <v>24593.699999999993</v>
      </c>
      <c r="E146" s="6">
        <f>D146/D144*100</f>
        <v>12.523685249073843</v>
      </c>
      <c r="F146" s="6">
        <f t="shared" si="21"/>
        <v>78.7043733719062</v>
      </c>
      <c r="G146" s="6">
        <f t="shared" si="18"/>
        <v>25.525959077425743</v>
      </c>
      <c r="H146" s="6">
        <f t="shared" si="19"/>
        <v>6654.500000000007</v>
      </c>
      <c r="I146" s="18">
        <f t="shared" si="20"/>
        <v>71754.09999999999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6090.5</v>
      </c>
      <c r="C147" s="67">
        <f>C22+C10+C54+C48+C60+C35+C102+C122</f>
        <v>25686.8</v>
      </c>
      <c r="D147" s="67">
        <f>D22+D10+D54+D48+D60+D35+D102+D122</f>
        <v>4495.500000000001</v>
      </c>
      <c r="E147" s="6">
        <f>D147/D144*100</f>
        <v>2.289213377296279</v>
      </c>
      <c r="F147" s="6">
        <f t="shared" si="21"/>
        <v>73.81167391839753</v>
      </c>
      <c r="G147" s="6">
        <f t="shared" si="18"/>
        <v>17.501206845539347</v>
      </c>
      <c r="H147" s="6">
        <f t="shared" si="19"/>
        <v>1594.999999999999</v>
      </c>
      <c r="I147" s="18">
        <f t="shared" si="20"/>
        <v>21191.3</v>
      </c>
      <c r="K147" s="46"/>
      <c r="L147" s="47"/>
    </row>
    <row r="148" spans="1:12" ht="21" customHeight="1">
      <c r="A148" s="23" t="s">
        <v>15</v>
      </c>
      <c r="B148" s="67">
        <f>B12+B24+B103+B62+B38+B92</f>
        <v>1819.2</v>
      </c>
      <c r="C148" s="67">
        <f>C12+C24+C103+C62+C38+C92</f>
        <v>14613.3</v>
      </c>
      <c r="D148" s="67">
        <f>D12+D24+D103+D62+D38+D92</f>
        <v>1296</v>
      </c>
      <c r="E148" s="6">
        <f>D148/D144*100</f>
        <v>0.6599534060673955</v>
      </c>
      <c r="F148" s="6">
        <f t="shared" si="21"/>
        <v>71.24010554089709</v>
      </c>
      <c r="G148" s="6">
        <f t="shared" si="18"/>
        <v>8.868633368233048</v>
      </c>
      <c r="H148" s="6">
        <f t="shared" si="19"/>
        <v>523.2</v>
      </c>
      <c r="I148" s="18">
        <f t="shared" si="20"/>
        <v>13317.3</v>
      </c>
      <c r="K148" s="46"/>
      <c r="L148" s="102"/>
    </row>
    <row r="149" spans="1:12" ht="18.75">
      <c r="A149" s="23" t="s">
        <v>2</v>
      </c>
      <c r="B149" s="67">
        <f>B9+B21+B47+B53+B121</f>
        <v>2096</v>
      </c>
      <c r="C149" s="67">
        <f>C9+C21+C47+C53+C121</f>
        <v>12618.400000000001</v>
      </c>
      <c r="D149" s="67">
        <f>D9+D21+D47+D53+D121</f>
        <v>2020.1999999999998</v>
      </c>
      <c r="E149" s="6">
        <f>D149/D144*100</f>
        <v>1.0287329251059816</v>
      </c>
      <c r="F149" s="6">
        <f t="shared" si="21"/>
        <v>96.38358778625953</v>
      </c>
      <c r="G149" s="6">
        <f t="shared" si="18"/>
        <v>16.009953718379506</v>
      </c>
      <c r="H149" s="6">
        <f t="shared" si="19"/>
        <v>75.80000000000018</v>
      </c>
      <c r="I149" s="18">
        <f t="shared" si="20"/>
        <v>10598.2</v>
      </c>
      <c r="K149" s="46"/>
      <c r="L149" s="47"/>
    </row>
    <row r="150" spans="1:12" ht="19.5" thickBot="1">
      <c r="A150" s="23" t="s">
        <v>35</v>
      </c>
      <c r="B150" s="67">
        <f>B144-B145-B146-B147-B148-B149</f>
        <v>79032.20000000001</v>
      </c>
      <c r="C150" s="67">
        <f>C144-C145-C146-C147-C148-C149</f>
        <v>239580.9</v>
      </c>
      <c r="D150" s="67">
        <f>D144-D145-D146-D147-D148-D149</f>
        <v>55057.10000000005</v>
      </c>
      <c r="E150" s="6">
        <f>D150/D144*100</f>
        <v>28.03635854413058</v>
      </c>
      <c r="F150" s="6">
        <f t="shared" si="21"/>
        <v>69.66413689610063</v>
      </c>
      <c r="G150" s="43">
        <f t="shared" si="18"/>
        <v>22.9805881854522</v>
      </c>
      <c r="H150" s="6">
        <f t="shared" si="19"/>
        <v>23975.099999999962</v>
      </c>
      <c r="I150" s="6">
        <f t="shared" si="20"/>
        <v>184523.79999999993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</f>
        <v>3301.8</v>
      </c>
      <c r="E152" s="15"/>
      <c r="F152" s="6">
        <f t="shared" si="21"/>
        <v>99.99697144068567</v>
      </c>
      <c r="G152" s="6">
        <f aca="true" t="shared" si="22" ref="G152:G161">D152/C152*100</f>
        <v>99.99697144068567</v>
      </c>
      <c r="H152" s="6">
        <f>B152-D152</f>
        <v>0.09999999999990905</v>
      </c>
      <c r="I152" s="6">
        <f aca="true" t="shared" si="23" ref="I152:I161">C152-D152</f>
        <v>0.09999999999990905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</f>
        <v>44667.7</v>
      </c>
      <c r="C154" s="67">
        <f>105819.2+550</f>
        <v>106369.2</v>
      </c>
      <c r="D154" s="67">
        <f>72+2507+500.9+784.3+577.6+1236.9+2501.8+375+180.7+310.2-4.2+554.9+23.5</f>
        <v>9620.6</v>
      </c>
      <c r="E154" s="6"/>
      <c r="F154" s="6">
        <f t="shared" si="21"/>
        <v>21.538158445588202</v>
      </c>
      <c r="G154" s="6">
        <f t="shared" si="22"/>
        <v>9.044535448231256</v>
      </c>
      <c r="H154" s="6">
        <f t="shared" si="24"/>
        <v>35047.1</v>
      </c>
      <c r="I154" s="6">
        <f t="shared" si="23"/>
        <v>96748.59999999999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v>4</v>
      </c>
      <c r="C156" s="67">
        <f>54+13623.4</f>
        <v>13677.4</v>
      </c>
      <c r="D156" s="67"/>
      <c r="E156" s="19"/>
      <c r="F156" s="6">
        <f t="shared" si="21"/>
        <v>0</v>
      </c>
      <c r="G156" s="6">
        <f t="shared" si="22"/>
        <v>0</v>
      </c>
      <c r="H156" s="6">
        <f t="shared" si="24"/>
        <v>4</v>
      </c>
      <c r="I156" s="6">
        <f t="shared" si="23"/>
        <v>13677.4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/>
      <c r="C159" s="67">
        <v>307.6</v>
      </c>
      <c r="D159" s="67"/>
      <c r="E159" s="19"/>
      <c r="F159" s="118" t="e">
        <f>D159/B159*100</f>
        <v>#DIV/0!</v>
      </c>
      <c r="G159" s="6">
        <f t="shared" si="22"/>
        <v>0</v>
      </c>
      <c r="H159" s="6">
        <f t="shared" si="24"/>
        <v>0</v>
      </c>
      <c r="I159" s="6">
        <f t="shared" si="23"/>
        <v>307.6</v>
      </c>
    </row>
    <row r="160" spans="1:9" ht="19.5" thickBot="1">
      <c r="A160" s="23" t="s">
        <v>62</v>
      </c>
      <c r="B160" s="88">
        <v>100</v>
      </c>
      <c r="C160" s="89">
        <v>3718.8</v>
      </c>
      <c r="D160" s="89">
        <f>98.8</f>
        <v>98.8</v>
      </c>
      <c r="E160" s="24"/>
      <c r="F160" s="6">
        <f>D160/B160*100</f>
        <v>98.8</v>
      </c>
      <c r="G160" s="6">
        <f t="shared" si="22"/>
        <v>2.6567710013983</v>
      </c>
      <c r="H160" s="6">
        <f t="shared" si="24"/>
        <v>1.2000000000000028</v>
      </c>
      <c r="I160" s="6">
        <f t="shared" si="23"/>
        <v>3620</v>
      </c>
    </row>
    <row r="161" spans="1:9" ht="19.5" thickBot="1">
      <c r="A161" s="14" t="s">
        <v>20</v>
      </c>
      <c r="B161" s="90">
        <f>B144+B152+B156+B157+B153+B160+B159+B154+B158+B155</f>
        <v>286979.7</v>
      </c>
      <c r="C161" s="90">
        <f>C144+C152+C156+C157+C153+C160+C159+C154+C158+C155</f>
        <v>1025437.7</v>
      </c>
      <c r="D161" s="90">
        <f>D144+D152+D156+D157+D153+D160+D159+D154+D158+D155</f>
        <v>209414.10000000003</v>
      </c>
      <c r="E161" s="25"/>
      <c r="F161" s="3">
        <f>D161/B161*100</f>
        <v>72.97174678208947</v>
      </c>
      <c r="G161" s="3">
        <f t="shared" si="22"/>
        <v>20.421923243118528</v>
      </c>
      <c r="H161" s="3">
        <f>B161-D161</f>
        <v>77565.59999999998</v>
      </c>
      <c r="I161" s="3">
        <f t="shared" si="23"/>
        <v>816023.5999999999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196377.50000000006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196377.50000000006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2015-03-20T10:49:41Z</cp:lastPrinted>
  <dcterms:created xsi:type="dcterms:W3CDTF">2000-06-20T04:48:00Z</dcterms:created>
  <dcterms:modified xsi:type="dcterms:W3CDTF">2015-03-31T06:44:16Z</dcterms:modified>
  <cp:category/>
  <cp:version/>
  <cp:contentType/>
  <cp:contentStatus/>
</cp:coreProperties>
</file>